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kyohei/Downloads/"/>
    </mc:Choice>
  </mc:AlternateContent>
  <xr:revisionPtr revIDLastSave="0" documentId="13_ncr:1_{F41F7B83-D42B-9D46-AAFC-EE38C9437B8C}" xr6:coauthVersionLast="47" xr6:coauthVersionMax="47" xr10:uidLastSave="{00000000-0000-0000-0000-000000000000}"/>
  <bookViews>
    <workbookView xWindow="0" yWindow="760" windowWidth="30240" windowHeight="17480" activeTab="5" xr2:uid="{00000000-000D-0000-FFFF-FFFF00000000}"/>
  </bookViews>
  <sheets>
    <sheet name="設定" sheetId="1" r:id="rId1"/>
    <sheet name="冊子" sheetId="2" r:id="rId2"/>
    <sheet name="チラシ・ペラ" sheetId="3" r:id="rId3"/>
    <sheet name="DM" sheetId="4" r:id="rId4"/>
    <sheet name="休業日" sheetId="5" r:id="rId5"/>
    <sheet name="スケジュール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" l="1"/>
  <c r="A24" i="6"/>
  <c r="C23" i="6"/>
  <c r="A23" i="6"/>
  <c r="C22" i="6"/>
  <c r="A22" i="6"/>
  <c r="C21" i="6"/>
  <c r="A21" i="6"/>
  <c r="C20" i="6"/>
  <c r="A20" i="6"/>
  <c r="C19" i="6"/>
  <c r="A19" i="6"/>
  <c r="C18" i="6"/>
  <c r="A18" i="6"/>
  <c r="C17" i="6"/>
  <c r="A17" i="6"/>
  <c r="C16" i="6"/>
  <c r="A16" i="6"/>
  <c r="A15" i="6"/>
  <c r="C14" i="6"/>
  <c r="A14" i="6"/>
  <c r="C13" i="6"/>
  <c r="A13" i="6"/>
  <c r="C12" i="6"/>
  <c r="A12" i="6"/>
  <c r="C11" i="6"/>
  <c r="A11" i="6"/>
  <c r="C10" i="6"/>
  <c r="A10" i="6"/>
  <c r="C9" i="6"/>
  <c r="A9" i="6"/>
  <c r="B5" i="6"/>
  <c r="B6" i="6" s="1"/>
  <c r="B4" i="6"/>
  <c r="B3" i="6"/>
  <c r="C9" i="4"/>
  <c r="B10" i="1"/>
  <c r="C8" i="2" s="1"/>
  <c r="C15" i="6" s="1"/>
  <c r="B7" i="1"/>
  <c r="B9" i="6" l="1"/>
  <c r="B11" i="6"/>
  <c r="B13" i="6"/>
  <c r="B15" i="6"/>
  <c r="B17" i="6"/>
  <c r="B19" i="6"/>
  <c r="B21" i="6"/>
  <c r="B23" i="6"/>
  <c r="B10" i="6"/>
  <c r="D11" i="6" s="1"/>
  <c r="B12" i="6"/>
  <c r="B14" i="6"/>
  <c r="B16" i="6"/>
  <c r="B18" i="6"/>
  <c r="B20" i="6"/>
  <c r="B24" i="6"/>
  <c r="B22" i="6"/>
  <c r="D20" i="6" l="1"/>
  <c r="E20" i="6" s="1"/>
  <c r="E11" i="6"/>
  <c r="D14" i="6"/>
  <c r="D12" i="6"/>
  <c r="E12" i="6" s="1"/>
  <c r="D24" i="6"/>
  <c r="E24" i="6" s="1"/>
  <c r="D16" i="6"/>
  <c r="E16" i="6" s="1"/>
  <c r="D10" i="6"/>
  <c r="E10" i="6" s="1"/>
  <c r="D23" i="6"/>
  <c r="E23" i="6" s="1"/>
  <c r="D17" i="6"/>
  <c r="E17" i="6" s="1"/>
  <c r="D13" i="6"/>
  <c r="E13" i="6" s="1"/>
  <c r="D21" i="6"/>
  <c r="E21" i="6" s="1"/>
  <c r="D19" i="6"/>
  <c r="E19" i="6" s="1"/>
  <c r="D15" i="6"/>
  <c r="E15" i="6" s="1"/>
  <c r="D9" i="6"/>
  <c r="E9" i="6" s="1"/>
  <c r="D22" i="6"/>
  <c r="E22" i="6" s="1"/>
  <c r="D18" i="6"/>
  <c r="E18" i="6" s="1"/>
  <c r="G3" i="6" l="1"/>
  <c r="E14" i="6"/>
  <c r="G4" i="6" s="1"/>
  <c r="G6" i="6" s="1"/>
  <c r="G5" i="6"/>
  <c r="G7" i="6" s="1"/>
</calcChain>
</file>

<file path=xl/sharedStrings.xml><?xml version="1.0" encoding="utf-8"?>
<sst xmlns="http://schemas.openxmlformats.org/spreadsheetml/2006/main" count="78" uniqueCount="61">
  <si>
    <t>案件タイプ</t>
  </si>
  <si>
    <t>下の候補から選択</t>
  </si>
  <si>
    <t>納品日（D0）</t>
  </si>
  <si>
    <t>最終到着/納品日</t>
  </si>
  <si>
    <t>配送日数（平時）</t>
  </si>
  <si>
    <t>本州=1–2、遠方=2–4 目安</t>
  </si>
  <si>
    <t>年末バッファ（日）</t>
  </si>
  <si>
    <t>繁忙期の遅延見込み上乗せ</t>
  </si>
  <si>
    <t>配送合計日数（自動）</t>
  </si>
  <si>
    <t>＝平時＋バッファ</t>
  </si>
  <si>
    <t>校正回数（PDF）</t>
  </si>
  <si>
    <t>目安1–2回。該当工程の行を複製して調整も可</t>
  </si>
  <si>
    <t>用紙カテゴリ</t>
  </si>
  <si>
    <t>一般紙</t>
  </si>
  <si>
    <t>一般紙=1日 / 特殊・高級・再生紙=2日</t>
  </si>
  <si>
    <t>紙リードタイム（自動）</t>
  </si>
  <si>
    <t>用紙カテゴリに応じて自動</t>
  </si>
  <si>
    <t>紙バッファ（日）</t>
  </si>
  <si>
    <t>データチェック時間（日）</t>
  </si>
  <si>
    <t>入稿データのチェック時間（半日=0.5）</t>
  </si>
  <si>
    <t>校正→校了 日数（想定）</t>
  </si>
  <si>
    <t>不備/修正再入稿のための余白</t>
  </si>
  <si>
    <t>データ入稿にかかる日数</t>
  </si>
  <si>
    <t>お客様側の入稿作業に要する日数（目安）</t>
  </si>
  <si>
    <t>発注後の支払い期限（日）</t>
  </si>
  <si>
    <t>正式発注（＝校了）から起算する営業日</t>
  </si>
  <si>
    <t>No.</t>
  </si>
  <si>
    <t>工程名</t>
  </si>
  <si>
    <t>基本日数（営業日）</t>
  </si>
  <si>
    <t>梱包・出荷</t>
  </si>
  <si>
    <t>製本</t>
  </si>
  <si>
    <t>加工</t>
  </si>
  <si>
    <t>印刷</t>
  </si>
  <si>
    <t>面付/刷版</t>
  </si>
  <si>
    <t>校正（PDF）</t>
  </si>
  <si>
    <t>紙手配</t>
  </si>
  <si>
    <t>加工・製本</t>
  </si>
  <si>
    <t>差出（郵便/宅配）</t>
  </si>
  <si>
    <t>仕分け・梱包</t>
  </si>
  <si>
    <t>可変印字＋検品</t>
  </si>
  <si>
    <t>断裁/折</t>
  </si>
  <si>
    <t>宛名CSV一次締切</t>
  </si>
  <si>
    <t>休業日（祝日/社休日などをA2以降に日付で入力）</t>
  </si>
  <si>
    <t>紙の確保：相談・発注期限（開始日）</t>
  </si>
  <si>
    <t>データ入稿：入稿期限（最遅）</t>
  </si>
  <si>
    <t>配送合計日数</t>
  </si>
  <si>
    <t>校了：最終OKの受付期限（完了日）</t>
  </si>
  <si>
    <t>出荷日（D0から配送を引く）</t>
  </si>
  <si>
    <t>入稿作業開始の目安</t>
  </si>
  <si>
    <t>支払い期限（校了後）</t>
  </si>
  <si>
    <t>工程（表示専用）</t>
  </si>
  <si>
    <t>所要（日, 切上げ）</t>
  </si>
  <si>
    <t>基本（日・参照）</t>
  </si>
  <si>
    <t>終了日（この日までに完了）</t>
  </si>
  <si>
    <t>開始日（この日から着手）</t>
  </si>
  <si>
    <t>冊子</t>
    <rPh sb="0" eb="2">
      <t>サッセィ</t>
    </rPh>
    <phoneticPr fontId="3"/>
  </si>
  <si>
    <t>お客様向け締切（自動）</t>
    <phoneticPr fontId="3"/>
  </si>
  <si>
    <t>在庫や繁忙での上乗せ（任意）</t>
    <phoneticPr fontId="3"/>
  </si>
  <si>
    <t>←対応する印刷会社の反応を見て加算してください。</t>
    <rPh sb="1" eb="3">
      <t>タイオウ</t>
    </rPh>
    <rPh sb="5" eb="9">
      <t>インサテゥ</t>
    </rPh>
    <rPh sb="10" eb="12">
      <t>ハンノウ</t>
    </rPh>
    <rPh sb="13" eb="14">
      <t>ミテ</t>
    </rPh>
    <rPh sb="15" eb="17">
      <t>カサンセィ</t>
    </rPh>
    <phoneticPr fontId="3"/>
  </si>
  <si>
    <t>年末進行 逆算カレンダー</t>
    <phoneticPr fontId="3"/>
  </si>
  <si>
    <t>逆算スケジュール（営業日換算）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</si>
</sst>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>
    <font>
      <sz val="11"/>
      <color theme="1"/>
      <name val="ＭＳ Ｐゴシック"/>
      <family val="2"/>
      <scheme val="minor"/>
    </font>
    <font>
      <b/>
      <sz val="14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E2EFDA"/>
        <bgColor rgb="FFE2EFDA"/>
      </patternFill>
    </fill>
    <fill>
      <patternFill patternType="solid">
        <fgColor rgb="FFE2EFDA"/>
        <bgColor rgb="FFE2EFDA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176" fontId="0" fillId="0" borderId="1" xfId="0" applyNumberFormat="1" applyBorder="1"/>
    <xf numFmtId="0" fontId="2" fillId="3" borderId="1" xfId="0" applyFont="1" applyFill="1" applyBorder="1"/>
    <xf numFmtId="0" fontId="2" fillId="0" borderId="0" xfId="0" applyFont="1"/>
    <xf numFmtId="176" fontId="0" fillId="0" borderId="0" xfId="0" applyNumberFormat="1"/>
    <xf numFmtId="14" fontId="0" fillId="0" borderId="0" xfId="0" applyNumberFormat="1"/>
    <xf numFmtId="0" fontId="0" fillId="0" borderId="2" xfId="0" applyBorder="1"/>
    <xf numFmtId="176" fontId="0" fillId="0" borderId="2" xfId="0" applyNumberFormat="1" applyBorder="1"/>
    <xf numFmtId="0" fontId="4" fillId="4" borderId="2" xfId="0" applyFont="1" applyFill="1" applyBorder="1"/>
    <xf numFmtId="0" fontId="5" fillId="5" borderId="3" xfId="0" applyFont="1" applyFill="1" applyBorder="1"/>
    <xf numFmtId="0" fontId="0" fillId="5" borderId="3" xfId="0" applyFill="1" applyBorder="1"/>
    <xf numFmtId="0" fontId="0" fillId="0" borderId="3" xfId="0" applyBorder="1"/>
    <xf numFmtId="0" fontId="0" fillId="0" borderId="4" xfId="0" applyBorder="1"/>
    <xf numFmtId="176" fontId="0" fillId="6" borderId="4" xfId="0" applyNumberForma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workbookViewId="0"/>
  </sheetViews>
  <sheetFormatPr baseColWidth="10" defaultColWidth="8.83203125" defaultRowHeight="14"/>
  <cols>
    <col min="1" max="1" width="22" customWidth="1"/>
    <col min="2" max="2" width="16" customWidth="1"/>
    <col min="3" max="3" width="44" customWidth="1"/>
  </cols>
  <sheetData>
    <row r="1" spans="1:4" ht="17" customHeight="1">
      <c r="A1" s="1" t="s">
        <v>59</v>
      </c>
    </row>
    <row r="3" spans="1:4">
      <c r="A3" s="2" t="s">
        <v>0</v>
      </c>
      <c r="B3" s="3" t="s">
        <v>55</v>
      </c>
      <c r="C3" s="3" t="s">
        <v>1</v>
      </c>
    </row>
    <row r="4" spans="1:4">
      <c r="A4" s="2" t="s">
        <v>2</v>
      </c>
      <c r="B4" s="4">
        <v>45992</v>
      </c>
      <c r="C4" s="3" t="s">
        <v>3</v>
      </c>
    </row>
    <row r="5" spans="1:4">
      <c r="A5" s="2" t="s">
        <v>4</v>
      </c>
      <c r="B5" s="3">
        <v>1</v>
      </c>
      <c r="C5" s="3" t="s">
        <v>5</v>
      </c>
    </row>
    <row r="6" spans="1:4">
      <c r="A6" s="2" t="s">
        <v>6</v>
      </c>
      <c r="B6" s="3">
        <v>1</v>
      </c>
      <c r="C6" s="3" t="s">
        <v>7</v>
      </c>
    </row>
    <row r="7" spans="1:4">
      <c r="A7" s="2" t="s">
        <v>8</v>
      </c>
      <c r="B7" s="3">
        <f>B5+B6</f>
        <v>2</v>
      </c>
      <c r="C7" s="3" t="s">
        <v>9</v>
      </c>
    </row>
    <row r="8" spans="1:4">
      <c r="A8" s="2" t="s">
        <v>10</v>
      </c>
      <c r="B8" s="3">
        <v>1</v>
      </c>
      <c r="C8" s="3" t="s">
        <v>11</v>
      </c>
    </row>
    <row r="9" spans="1:4">
      <c r="A9" s="12" t="s">
        <v>12</v>
      </c>
      <c r="B9" s="13" t="s">
        <v>13</v>
      </c>
      <c r="C9" s="13" t="s">
        <v>14</v>
      </c>
    </row>
    <row r="10" spans="1:4">
      <c r="A10" s="14" t="s">
        <v>15</v>
      </c>
      <c r="B10" s="14">
        <f>IF(B9="一般紙",1,2)</f>
        <v>1</v>
      </c>
      <c r="C10" s="14" t="s">
        <v>16</v>
      </c>
    </row>
    <row r="11" spans="1:4">
      <c r="A11" s="14" t="s">
        <v>17</v>
      </c>
      <c r="B11" s="14">
        <v>0</v>
      </c>
      <c r="C11" s="14" t="s">
        <v>57</v>
      </c>
      <c r="D11" t="s">
        <v>58</v>
      </c>
    </row>
    <row r="12" spans="1:4">
      <c r="A12" s="14" t="s">
        <v>18</v>
      </c>
      <c r="B12" s="14">
        <v>0.5</v>
      </c>
      <c r="C12" s="14" t="s">
        <v>19</v>
      </c>
    </row>
    <row r="13" spans="1:4">
      <c r="A13" s="15" t="s">
        <v>20</v>
      </c>
      <c r="B13" s="15">
        <v>1</v>
      </c>
      <c r="C13" s="15" t="s">
        <v>21</v>
      </c>
    </row>
    <row r="14" spans="1:4">
      <c r="A14" s="15" t="s">
        <v>22</v>
      </c>
      <c r="B14" s="15">
        <v>1</v>
      </c>
      <c r="C14" s="15" t="s">
        <v>23</v>
      </c>
    </row>
    <row r="15" spans="1:4">
      <c r="A15" s="15" t="s">
        <v>24</v>
      </c>
      <c r="B15" s="15">
        <v>3</v>
      </c>
      <c r="C15" s="15" t="s">
        <v>25</v>
      </c>
    </row>
  </sheetData>
  <phoneticPr fontId="3"/>
  <dataValidations count="2">
    <dataValidation type="list" showInputMessage="1" showErrorMessage="1" sqref="B9" xr:uid="{00000000-0002-0000-0000-000000000000}">
      <formula1>"一般紙,特殊・高級・再生紙"</formula1>
    </dataValidation>
    <dataValidation type="list" showDropDown="1" showInputMessage="1" showErrorMessage="1" sqref="B3" xr:uid="{00000000-0002-0000-0000-000001000000}">
      <formula1>"冊子,チラシ・ペラ,DM"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F13" sqref="F13"/>
    </sheetView>
  </sheetViews>
  <sheetFormatPr baseColWidth="10" defaultColWidth="8.83203125" defaultRowHeight="14"/>
  <cols>
    <col min="1" max="1" width="6" customWidth="1"/>
    <col min="2" max="2" width="22" customWidth="1"/>
    <col min="3" max="3" width="18" customWidth="1"/>
  </cols>
  <sheetData>
    <row r="1" spans="1:3">
      <c r="A1" s="5" t="s">
        <v>26</v>
      </c>
      <c r="B1" s="5" t="s">
        <v>27</v>
      </c>
      <c r="C1" s="5" t="s">
        <v>28</v>
      </c>
    </row>
    <row r="2" spans="1:3">
      <c r="A2" s="3">
        <v>1</v>
      </c>
      <c r="B2" s="3" t="s">
        <v>29</v>
      </c>
      <c r="C2" s="3">
        <v>1</v>
      </c>
    </row>
    <row r="3" spans="1:3">
      <c r="A3" s="3">
        <v>2</v>
      </c>
      <c r="B3" s="3" t="s">
        <v>30</v>
      </c>
      <c r="C3" s="3">
        <v>1</v>
      </c>
    </row>
    <row r="4" spans="1:3">
      <c r="A4" s="14">
        <v>2</v>
      </c>
      <c r="B4" s="14" t="s">
        <v>31</v>
      </c>
      <c r="C4" s="14">
        <v>1</v>
      </c>
    </row>
    <row r="5" spans="1:3">
      <c r="A5" s="3">
        <v>3</v>
      </c>
      <c r="B5" s="3" t="s">
        <v>32</v>
      </c>
      <c r="C5" s="3">
        <v>1</v>
      </c>
    </row>
    <row r="6" spans="1:3">
      <c r="A6" s="3">
        <v>4</v>
      </c>
      <c r="B6" s="3" t="s">
        <v>33</v>
      </c>
      <c r="C6" s="3">
        <v>1</v>
      </c>
    </row>
    <row r="7" spans="1:3">
      <c r="A7" s="3">
        <v>5</v>
      </c>
      <c r="B7" s="3" t="s">
        <v>34</v>
      </c>
      <c r="C7" s="3">
        <v>1</v>
      </c>
    </row>
    <row r="8" spans="1:3">
      <c r="A8" s="3">
        <v>6</v>
      </c>
      <c r="B8" s="3" t="s">
        <v>35</v>
      </c>
      <c r="C8" s="3">
        <f>設定!$B$10+設定!$B$11</f>
        <v>1</v>
      </c>
    </row>
  </sheetData>
  <phoneticPr fontId="3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15" sqref="B15"/>
    </sheetView>
  </sheetViews>
  <sheetFormatPr baseColWidth="10" defaultColWidth="8.83203125" defaultRowHeight="14"/>
  <cols>
    <col min="1" max="1" width="6" customWidth="1"/>
    <col min="2" max="2" width="22" customWidth="1"/>
    <col min="3" max="3" width="18" customWidth="1"/>
  </cols>
  <sheetData>
    <row r="1" spans="1:3">
      <c r="A1" s="5" t="s">
        <v>26</v>
      </c>
      <c r="B1" s="5" t="s">
        <v>27</v>
      </c>
      <c r="C1" s="5" t="s">
        <v>28</v>
      </c>
    </row>
    <row r="2" spans="1:3">
      <c r="A2" s="3">
        <v>1</v>
      </c>
      <c r="B2" s="3" t="s">
        <v>29</v>
      </c>
      <c r="C2" s="3">
        <v>1</v>
      </c>
    </row>
    <row r="3" spans="1:3">
      <c r="A3" s="3">
        <v>2</v>
      </c>
      <c r="B3" s="3" t="s">
        <v>36</v>
      </c>
      <c r="C3" s="3">
        <v>1</v>
      </c>
    </row>
    <row r="4" spans="1:3">
      <c r="A4" s="3">
        <v>3</v>
      </c>
      <c r="B4" s="3" t="s">
        <v>32</v>
      </c>
      <c r="C4" s="3">
        <v>1</v>
      </c>
    </row>
    <row r="5" spans="1:3">
      <c r="A5" s="3">
        <v>4</v>
      </c>
      <c r="B5" s="3" t="s">
        <v>33</v>
      </c>
      <c r="C5" s="3">
        <v>1</v>
      </c>
    </row>
    <row r="6" spans="1:3">
      <c r="A6" s="3">
        <v>5</v>
      </c>
      <c r="B6" s="3" t="s">
        <v>34</v>
      </c>
      <c r="C6" s="3">
        <v>1</v>
      </c>
    </row>
    <row r="7" spans="1:3">
      <c r="A7" s="3">
        <v>6</v>
      </c>
      <c r="B7" s="3" t="s">
        <v>35</v>
      </c>
      <c r="C7" s="3">
        <v>1</v>
      </c>
    </row>
  </sheetData>
  <phoneticPr fontId="3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B10" sqref="B10"/>
    </sheetView>
  </sheetViews>
  <sheetFormatPr baseColWidth="10" defaultColWidth="8.83203125" defaultRowHeight="14"/>
  <cols>
    <col min="1" max="1" width="6" customWidth="1"/>
    <col min="2" max="2" width="22" customWidth="1"/>
    <col min="3" max="3" width="18" customWidth="1"/>
  </cols>
  <sheetData>
    <row r="1" spans="1:3">
      <c r="A1" s="5" t="s">
        <v>26</v>
      </c>
      <c r="B1" s="5" t="s">
        <v>27</v>
      </c>
      <c r="C1" s="5" t="s">
        <v>28</v>
      </c>
    </row>
    <row r="2" spans="1:3">
      <c r="A2" s="3">
        <v>1</v>
      </c>
      <c r="B2" s="3" t="s">
        <v>37</v>
      </c>
      <c r="C2" s="3">
        <v>0.5</v>
      </c>
    </row>
    <row r="3" spans="1:3">
      <c r="A3" s="3">
        <v>2</v>
      </c>
      <c r="B3" s="3" t="s">
        <v>38</v>
      </c>
      <c r="C3" s="3">
        <v>1</v>
      </c>
    </row>
    <row r="4" spans="1:3">
      <c r="A4" s="3">
        <v>3</v>
      </c>
      <c r="B4" s="3" t="s">
        <v>39</v>
      </c>
      <c r="C4" s="3">
        <v>1</v>
      </c>
    </row>
    <row r="5" spans="1:3">
      <c r="A5" s="3">
        <v>4</v>
      </c>
      <c r="B5" s="3" t="s">
        <v>40</v>
      </c>
      <c r="C5" s="3">
        <v>1</v>
      </c>
    </row>
    <row r="6" spans="1:3">
      <c r="A6" s="3">
        <v>5</v>
      </c>
      <c r="B6" s="3" t="s">
        <v>32</v>
      </c>
      <c r="C6" s="3">
        <v>1</v>
      </c>
    </row>
    <row r="7" spans="1:3">
      <c r="A7" s="3">
        <v>7</v>
      </c>
      <c r="B7" s="3" t="s">
        <v>34</v>
      </c>
      <c r="C7" s="3">
        <v>1</v>
      </c>
    </row>
    <row r="8" spans="1:3">
      <c r="A8" s="3">
        <v>8</v>
      </c>
      <c r="B8" s="3" t="s">
        <v>33</v>
      </c>
      <c r="C8" s="3">
        <v>0.5</v>
      </c>
    </row>
    <row r="9" spans="1:3">
      <c r="A9" s="3">
        <v>8</v>
      </c>
      <c r="B9" s="3" t="s">
        <v>35</v>
      </c>
      <c r="C9" s="3">
        <f>設定!$B$10+設定!$B$11</f>
        <v>1</v>
      </c>
    </row>
    <row r="10" spans="1:3">
      <c r="A10" s="3">
        <v>9</v>
      </c>
      <c r="B10" s="3" t="s">
        <v>41</v>
      </c>
      <c r="C10" s="3">
        <v>2</v>
      </c>
    </row>
  </sheetData>
  <phoneticPr fontId="3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A9" sqref="A9"/>
    </sheetView>
  </sheetViews>
  <sheetFormatPr baseColWidth="10" defaultColWidth="8.83203125" defaultRowHeight="14"/>
  <cols>
    <col min="1" max="1" width="36" customWidth="1"/>
  </cols>
  <sheetData>
    <row r="1" spans="1:1">
      <c r="A1" s="6" t="s">
        <v>42</v>
      </c>
    </row>
    <row r="2" spans="1:1">
      <c r="A2" s="8">
        <v>45915</v>
      </c>
    </row>
    <row r="3" spans="1:1">
      <c r="A3" s="8">
        <v>45923</v>
      </c>
    </row>
    <row r="4" spans="1:1">
      <c r="A4" s="8">
        <v>45943</v>
      </c>
    </row>
    <row r="5" spans="1:1">
      <c r="A5" s="8">
        <v>45964</v>
      </c>
    </row>
    <row r="6" spans="1:1">
      <c r="A6" s="8">
        <v>45985</v>
      </c>
    </row>
    <row r="7" spans="1:1">
      <c r="A7" s="8">
        <v>45991</v>
      </c>
    </row>
    <row r="8" spans="1:1">
      <c r="A8" s="8">
        <v>46016</v>
      </c>
    </row>
  </sheetData>
  <phoneticPr fontId="3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tabSelected="1" workbookViewId="0">
      <selection activeCell="F14" sqref="F14"/>
    </sheetView>
  </sheetViews>
  <sheetFormatPr baseColWidth="10" defaultColWidth="8.83203125" defaultRowHeight="14"/>
  <cols>
    <col min="1" max="1" width="24" customWidth="1"/>
    <col min="2" max="2" width="18" customWidth="1"/>
    <col min="3" max="3" width="14" customWidth="1"/>
    <col min="4" max="5" width="22" customWidth="1"/>
    <col min="6" max="6" width="28.83203125" customWidth="1"/>
    <col min="7" max="7" width="20" customWidth="1"/>
  </cols>
  <sheetData>
    <row r="1" spans="1:7" ht="17" customHeight="1">
      <c r="A1" s="1" t="s">
        <v>60</v>
      </c>
    </row>
    <row r="2" spans="1:7">
      <c r="F2" s="6" t="s">
        <v>56</v>
      </c>
    </row>
    <row r="3" spans="1:7">
      <c r="A3" t="s">
        <v>0</v>
      </c>
      <c r="B3" t="str">
        <f>設定!B3</f>
        <v>冊子</v>
      </c>
      <c r="F3" s="15" t="s">
        <v>43</v>
      </c>
      <c r="G3" s="16">
        <f>IFERROR(INDEX($E$9:$E$24, MATCH("紙手配",$A$9:$A$24, 0)), "")</f>
        <v>45978</v>
      </c>
    </row>
    <row r="4" spans="1:7">
      <c r="A4" t="s">
        <v>2</v>
      </c>
      <c r="B4" s="7">
        <f>設定!B4</f>
        <v>45992</v>
      </c>
      <c r="F4" s="15" t="s">
        <v>44</v>
      </c>
      <c r="G4" s="16">
        <f>IFERROR(WORKDAY(INDEX($E$9:$E$24, MATCH("校正（PDF）",$A$9:$A$24, 0)), -CEILING(設定!$B$12+設定!$B$13,1), 休業日!$A$2:$A$200), "")</f>
        <v>45975</v>
      </c>
    </row>
    <row r="5" spans="1:7">
      <c r="A5" t="s">
        <v>45</v>
      </c>
      <c r="B5">
        <f>設定!B7</f>
        <v>2</v>
      </c>
      <c r="F5" s="15" t="s">
        <v>46</v>
      </c>
      <c r="G5" s="16">
        <f>IFERROR(INDEX($D$9:$D$24, MATCH("校正（PDF）",$A$9:$A$24, 0)), "")</f>
        <v>45979</v>
      </c>
    </row>
    <row r="6" spans="1:7">
      <c r="A6" t="s">
        <v>47</v>
      </c>
      <c r="B6" s="8">
        <f>WORKDAY(B4,-B5,休業日!$A$2:$A$200)</f>
        <v>45988</v>
      </c>
      <c r="F6" s="15" t="s">
        <v>48</v>
      </c>
      <c r="G6" s="16">
        <f>IF(G4="","",WORKDAY(G4,-CEILING(設定!$B$14,1),休業日!$A$2:$A$200))</f>
        <v>45974</v>
      </c>
    </row>
    <row r="7" spans="1:7">
      <c r="F7" s="15" t="s">
        <v>49</v>
      </c>
      <c r="G7" s="16">
        <f>IF(G5="","",WORKDAY(G5,設定!$B$15,休業日!$A$2:$A$200))</f>
        <v>45982</v>
      </c>
    </row>
    <row r="8" spans="1:7">
      <c r="A8" s="5" t="s">
        <v>50</v>
      </c>
      <c r="B8" s="5" t="s">
        <v>51</v>
      </c>
      <c r="C8" s="5" t="s">
        <v>52</v>
      </c>
      <c r="D8" s="5" t="s">
        <v>53</v>
      </c>
      <c r="E8" s="11" t="s">
        <v>54</v>
      </c>
    </row>
    <row r="9" spans="1:7">
      <c r="A9" s="9" t="str">
        <f>IFERROR(INDEX(CHOOSE(MATCH(設定!$B$3,{"冊子","チラシ・ペラ","DM"},0), 冊子!$B$2:$B$100, チラシ・ペラ!$B$2:$B$100, DM!$B$2:$B$100),1),"")</f>
        <v>梱包・出荷</v>
      </c>
      <c r="B9" s="9">
        <f>IF(A9="校正（PDF）", CEILING(C9*設定!$B$8,1), CEILING(C9,1))</f>
        <v>1</v>
      </c>
      <c r="C9" s="9">
        <f>IFERROR(INDEX(CHOOSE(MATCH(設定!$B$3,{"冊子","チラシ・ペラ","DM"},0), 冊子!$C$2:$C$100, チラシ・ペラ!$C$2:$C$100, DM!$C$2:$C$100),1),"")</f>
        <v>1</v>
      </c>
      <c r="D9" s="10">
        <f>IF(A9="","",WORKDAY($B$6,-SUM($B$9:B9),休業日!$A$2:$A$200))</f>
        <v>45987</v>
      </c>
      <c r="E9" s="10">
        <f>IF(A9="","",WORKDAY(D9,-ROUNDUP(B9,0)+1,休業日!$A$2:$A$200))</f>
        <v>45987</v>
      </c>
    </row>
    <row r="10" spans="1:7">
      <c r="A10" s="9" t="str">
        <f>IFERROR(INDEX(CHOOSE(MATCH(設定!$B$3,{"冊子","チラシ・ペラ","DM"},0), 冊子!$B$2:$B$100, チラシ・ペラ!$B$2:$B$100, DM!$B$2:$B$100),2),"")</f>
        <v>製本</v>
      </c>
      <c r="B10" s="9">
        <f>IF(A10="校正（PDF）", CEILING(C10*設定!$B$8,1), CEILING(C10,1))</f>
        <v>1</v>
      </c>
      <c r="C10" s="9">
        <f>IFERROR(INDEX(CHOOSE(MATCH(設定!$B$3,{"冊子","チラシ・ペラ","DM"},0), 冊子!$C$2:$C$100, チラシ・ペラ!$C$2:$C$100, DM!$C$2:$C$100),2),"")</f>
        <v>1</v>
      </c>
      <c r="D10" s="10">
        <f>IF(A10="","",WORKDAY($B$6,-SUM($B$9:B10),休業日!$A$2:$A$200))</f>
        <v>45986</v>
      </c>
      <c r="E10" s="10">
        <f>IF(A10="","",WORKDAY(D10,-ROUNDUP(B10,0)+1,休業日!$A$2:$A$200))</f>
        <v>45986</v>
      </c>
    </row>
    <row r="11" spans="1:7">
      <c r="A11" s="9" t="str">
        <f>IFERROR(INDEX(CHOOSE(MATCH(設定!$B$3,{"冊子","チラシ・ペラ","DM"},0), 冊子!$B$2:$B$100, チラシ・ペラ!$B$2:$B$100, DM!$B$2:$B$100),3),"")</f>
        <v>加工</v>
      </c>
      <c r="B11" s="9">
        <f>IF(A11="校正（PDF）", CEILING(C11*設定!$B$8,1), CEILING(C11,1))</f>
        <v>1</v>
      </c>
      <c r="C11" s="9">
        <f>IFERROR(INDEX(CHOOSE(MATCH(設定!$B$3,{"冊子","チラシ・ペラ","DM"},0), 冊子!$C$2:$C$100, チラシ・ペラ!$C$2:$C$100, DM!$C$2:$C$100),3),"")</f>
        <v>1</v>
      </c>
      <c r="D11" s="10">
        <f>IF(A11="","",WORKDAY($B$6,-SUM($B$9:B11),休業日!$A$2:$A$200))</f>
        <v>45982</v>
      </c>
      <c r="E11" s="10">
        <f>IF(A11="","",WORKDAY(D11,-ROUNDUP(B11,0)+1,休業日!$A$2:$A$200))</f>
        <v>45982</v>
      </c>
    </row>
    <row r="12" spans="1:7">
      <c r="A12" s="9" t="str">
        <f>IFERROR(INDEX(CHOOSE(MATCH(設定!$B$3,{"冊子","チラシ・ペラ","DM"},0), 冊子!$B$2:$B$100, チラシ・ペラ!$B$2:$B$100, DM!$B$2:$B$100),4),"")</f>
        <v>印刷</v>
      </c>
      <c r="B12" s="9">
        <f>IF(A12="校正（PDF）", CEILING(C12*設定!$B$8,1), CEILING(C12,1))</f>
        <v>1</v>
      </c>
      <c r="C12" s="9">
        <f>IFERROR(INDEX(CHOOSE(MATCH(設定!$B$3,{"冊子","チラシ・ペラ","DM"},0), 冊子!$C$2:$C$100, チラシ・ペラ!$C$2:$C$100, DM!$C$2:$C$100),4),"")</f>
        <v>1</v>
      </c>
      <c r="D12" s="10">
        <f>IF(A12="","",WORKDAY($B$6,-SUM($B$9:B12),休業日!$A$2:$A$200))</f>
        <v>45981</v>
      </c>
      <c r="E12" s="10">
        <f>IF(A12="","",WORKDAY(D12,-ROUNDUP(B12,0)+1,休業日!$A$2:$A$200))</f>
        <v>45981</v>
      </c>
    </row>
    <row r="13" spans="1:7">
      <c r="A13" s="9" t="str">
        <f>IFERROR(INDEX(CHOOSE(MATCH(設定!$B$3,{"冊子","チラシ・ペラ","DM"},0), 冊子!$B$2:$B$100, チラシ・ペラ!$B$2:$B$100, DM!$B$2:$B$100),5),"")</f>
        <v>面付/刷版</v>
      </c>
      <c r="B13" s="9">
        <f>IF(A13="校正（PDF）", CEILING(C13*設定!$B$8,1), CEILING(C13,1))</f>
        <v>1</v>
      </c>
      <c r="C13" s="9">
        <f>IFERROR(INDEX(CHOOSE(MATCH(設定!$B$3,{"冊子","チラシ・ペラ","DM"},0), 冊子!$C$2:$C$100, チラシ・ペラ!$C$2:$C$100, DM!$C$2:$C$100),5),"")</f>
        <v>1</v>
      </c>
      <c r="D13" s="10">
        <f>IF(A13="","",WORKDAY($B$6,-SUM($B$9:B13),休業日!$A$2:$A$200))</f>
        <v>45980</v>
      </c>
      <c r="E13" s="10">
        <f>IF(A13="","",WORKDAY(D13,-ROUNDUP(B13,0)+1,休業日!$A$2:$A$200))</f>
        <v>45980</v>
      </c>
    </row>
    <row r="14" spans="1:7">
      <c r="A14" s="9" t="str">
        <f>IFERROR(INDEX(CHOOSE(MATCH(設定!$B$3,{"冊子","チラシ・ペラ","DM"},0), 冊子!$B$2:$B$100, チラシ・ペラ!$B$2:$B$100, DM!$B$2:$B$100),6),"")</f>
        <v>校正（PDF）</v>
      </c>
      <c r="B14" s="9">
        <f>IF(A14="校正（PDF）", CEILING(C14*設定!$B$8,1), CEILING(C14,1))</f>
        <v>1</v>
      </c>
      <c r="C14" s="9">
        <f>IFERROR(INDEX(CHOOSE(MATCH(設定!$B$3,{"冊子","チラシ・ペラ","DM"},0), 冊子!$C$2:$C$100, チラシ・ペラ!$C$2:$C$100, DM!$C$2:$C$100),6),"")</f>
        <v>1</v>
      </c>
      <c r="D14" s="10">
        <f>IF(A14="","",WORKDAY($B$6,-SUM($B$9:B14),休業日!$A$2:$A$200))</f>
        <v>45979</v>
      </c>
      <c r="E14" s="10">
        <f>IF(A14="","",WORKDAY(D14,-ROUNDUP(B14,0)+1,休業日!$A$2:$A$200))</f>
        <v>45979</v>
      </c>
    </row>
    <row r="15" spans="1:7">
      <c r="A15" s="9" t="str">
        <f>IFERROR(INDEX(CHOOSE(MATCH(設定!$B$3,{"冊子","チラシ・ペラ","DM"},0), 冊子!$B$2:$B$100, チラシ・ペラ!$B$2:$B$100, DM!$B$2:$B$100),7),"")</f>
        <v>紙手配</v>
      </c>
      <c r="B15" s="9">
        <f>IF(A15="校正（PDF）", CEILING(C15*設定!$B$8,1), CEILING(C15,1))</f>
        <v>1</v>
      </c>
      <c r="C15" s="9">
        <f>IFERROR(INDEX(CHOOSE(MATCH(設定!$B$3,{"冊子","チラシ・ペラ","DM"},0), 冊子!$C$2:$C$100, チラシ・ペラ!$C$2:$C$100, DM!$C$2:$C$100),7),"")</f>
        <v>1</v>
      </c>
      <c r="D15" s="10">
        <f>IF(A15="","",WORKDAY($B$6,-SUM($B$9:B15),休業日!$A$2:$A$200))</f>
        <v>45978</v>
      </c>
      <c r="E15" s="10">
        <f>IF(A15="","",WORKDAY(D15,-ROUNDUP(B15,0)+1,休業日!$A$2:$A$200))</f>
        <v>45978</v>
      </c>
    </row>
    <row r="16" spans="1:7">
      <c r="A16" s="9">
        <f>IFERROR(INDEX(CHOOSE(MATCH(設定!$B$3,{"冊子","チラシ・ペラ","DM"},0), 冊子!$B$2:$B$100, チラシ・ペラ!$B$2:$B$100, DM!$B$2:$B$100),8),"")</f>
        <v>0</v>
      </c>
      <c r="B16" s="9">
        <f>IF(A16="校正（PDF）", CEILING(C16*設定!$B$8,1), CEILING(C16,1))</f>
        <v>0</v>
      </c>
      <c r="C16" s="9">
        <f>IFERROR(INDEX(CHOOSE(MATCH(設定!$B$3,{"冊子","チラシ・ペラ","DM"},0), 冊子!$C$2:$C$100, チラシ・ペラ!$C$2:$C$100, DM!$C$2:$C$100),8),"")</f>
        <v>0</v>
      </c>
      <c r="D16" s="10">
        <f>IF(A16="","",WORKDAY($B$6,-SUM($B$9:B16),休業日!$A$2:$A$200))</f>
        <v>45978</v>
      </c>
      <c r="E16" s="10">
        <f>IF(A16="","",WORKDAY(D16,-ROUNDUP(B16,0)+1,休業日!$A$2:$A$200))</f>
        <v>45979</v>
      </c>
    </row>
    <row r="17" spans="1:5">
      <c r="A17" s="9">
        <f>IFERROR(INDEX(CHOOSE(MATCH(設定!$B$3,{"冊子","チラシ・ペラ","DM"},0), 冊子!$B$2:$B$100, チラシ・ペラ!$B$2:$B$100, DM!$B$2:$B$100),9),"")</f>
        <v>0</v>
      </c>
      <c r="B17" s="9">
        <f>IF(A17="校正（PDF）", CEILING(C17*設定!$B$8,1), CEILING(C17,1))</f>
        <v>0</v>
      </c>
      <c r="C17" s="9">
        <f>IFERROR(INDEX(CHOOSE(MATCH(設定!$B$3,{"冊子","チラシ・ペラ","DM"},0), 冊子!$C$2:$C$100, チラシ・ペラ!$C$2:$C$100, DM!$C$2:$C$100),9),"")</f>
        <v>0</v>
      </c>
      <c r="D17" s="10">
        <f>IF(A17="","",WORKDAY($B$6,-SUM($B$9:B17),休業日!$A$2:$A$200))</f>
        <v>45978</v>
      </c>
      <c r="E17" s="10">
        <f>IF(A17="","",WORKDAY(D17,-ROUNDUP(B17,0)+1,休業日!$A$2:$A$200))</f>
        <v>45979</v>
      </c>
    </row>
    <row r="18" spans="1:5">
      <c r="A18" s="9">
        <f>IFERROR(INDEX(CHOOSE(MATCH(設定!$B$3,{"冊子","チラシ・ペラ","DM"},0), 冊子!$B$2:$B$100, チラシ・ペラ!$B$2:$B$100, DM!$B$2:$B$100),10),"")</f>
        <v>0</v>
      </c>
      <c r="B18" s="9">
        <f>IF(A18="校正（PDF）", CEILING(C18*設定!$B$8,1), CEILING(C18,1))</f>
        <v>0</v>
      </c>
      <c r="C18" s="9">
        <f>IFERROR(INDEX(CHOOSE(MATCH(設定!$B$3,{"冊子","チラシ・ペラ","DM"},0), 冊子!$C$2:$C$100, チラシ・ペラ!$C$2:$C$100, DM!$C$2:$C$100),10),"")</f>
        <v>0</v>
      </c>
      <c r="D18" s="10">
        <f>IF(A18="","",WORKDAY($B$6,-SUM($B$9:B18),休業日!$A$2:$A$200))</f>
        <v>45978</v>
      </c>
      <c r="E18" s="10">
        <f>IF(A18="","",WORKDAY(D18,-ROUNDUP(B18,0)+1,休業日!$A$2:$A$200))</f>
        <v>45979</v>
      </c>
    </row>
    <row r="19" spans="1:5">
      <c r="A19" s="9">
        <f>IFERROR(INDEX(CHOOSE(MATCH(設定!$B$3,{"冊子","チラシ・ペラ","DM"},0), 冊子!$B$2:$B$100, チラシ・ペラ!$B$2:$B$100, DM!$B$2:$B$100),11),"")</f>
        <v>0</v>
      </c>
      <c r="B19" s="9">
        <f>IF(A19="校正（PDF）", CEILING(C19*設定!$B$8,1), CEILING(C19,1))</f>
        <v>0</v>
      </c>
      <c r="C19" s="9">
        <f>IFERROR(INDEX(CHOOSE(MATCH(設定!$B$3,{"冊子","チラシ・ペラ","DM"},0), 冊子!$C$2:$C$100, チラシ・ペラ!$C$2:$C$100, DM!$C$2:$C$100),11),"")</f>
        <v>0</v>
      </c>
      <c r="D19" s="10">
        <f>IF(A19="","",WORKDAY($B$6,-SUM($B$9:B19),休業日!$A$2:$A$200))</f>
        <v>45978</v>
      </c>
      <c r="E19" s="10">
        <f>IF(A19="","",WORKDAY(D19,-ROUNDUP(B19,0)+1,休業日!$A$2:$A$200))</f>
        <v>45979</v>
      </c>
    </row>
    <row r="20" spans="1:5">
      <c r="A20" s="9">
        <f>IFERROR(INDEX(CHOOSE(MATCH(設定!$B$3,{"冊子","チラシ・ペラ","DM"},0), 冊子!$B$2:$B$100, チラシ・ペラ!$B$2:$B$100, DM!$B$2:$B$100),12),"")</f>
        <v>0</v>
      </c>
      <c r="B20" s="9">
        <f>IF(A20="校正（PDF）", CEILING(C20*設定!$B$8,1), CEILING(C20,1))</f>
        <v>0</v>
      </c>
      <c r="C20" s="9">
        <f>IFERROR(INDEX(CHOOSE(MATCH(設定!$B$3,{"冊子","チラシ・ペラ","DM"},0), 冊子!$C$2:$C$100, チラシ・ペラ!$C$2:$C$100, DM!$C$2:$C$100),12),"")</f>
        <v>0</v>
      </c>
      <c r="D20" s="10">
        <f>IF(A20="","",WORKDAY($B$6,-SUM($B$9:B20),休業日!$A$2:$A$200))</f>
        <v>45978</v>
      </c>
      <c r="E20" s="10">
        <f>IF(A20="","",WORKDAY(D20,-ROUNDUP(B20,0)+1,休業日!$A$2:$A$200))</f>
        <v>45979</v>
      </c>
    </row>
    <row r="21" spans="1:5">
      <c r="A21" s="9">
        <f>IFERROR(INDEX(CHOOSE(MATCH(設定!$B$3,{"冊子","チラシ・ペラ","DM"},0), 冊子!$B$2:$B$100, チラシ・ペラ!$B$2:$B$100, DM!$B$2:$B$100),13),"")</f>
        <v>0</v>
      </c>
      <c r="B21" s="9">
        <f>IF(A21="校正（PDF）", CEILING(C21*設定!$B$8,1), CEILING(C21,1))</f>
        <v>0</v>
      </c>
      <c r="C21" s="9">
        <f>IFERROR(INDEX(CHOOSE(MATCH(設定!$B$3,{"冊子","チラシ・ペラ","DM"},0), 冊子!$C$2:$C$100, チラシ・ペラ!$C$2:$C$100, DM!$C$2:$C$100),13),"")</f>
        <v>0</v>
      </c>
      <c r="D21" s="10">
        <f>IF(A21="","",WORKDAY($B$6,-SUM($B$9:B21),休業日!$A$2:$A$200))</f>
        <v>45978</v>
      </c>
      <c r="E21" s="10">
        <f>IF(A21="","",WORKDAY(D21,-ROUNDUP(B21,0)+1,休業日!$A$2:$A$200))</f>
        <v>45979</v>
      </c>
    </row>
    <row r="22" spans="1:5">
      <c r="A22" s="9">
        <f>IFERROR(INDEX(CHOOSE(MATCH(設定!$B$3,{"冊子","チラシ・ペラ","DM"},0), 冊子!$B$2:$B$100, チラシ・ペラ!$B$2:$B$100, DM!$B$2:$B$100),14),"")</f>
        <v>0</v>
      </c>
      <c r="B22" s="9">
        <f>IF(A22="校正（PDF）", CEILING(C22*設定!$B$8,1), CEILING(C22,1))</f>
        <v>0</v>
      </c>
      <c r="C22" s="9">
        <f>IFERROR(INDEX(CHOOSE(MATCH(設定!$B$3,{"冊子","チラシ・ペラ","DM"},0), 冊子!$C$2:$C$100, チラシ・ペラ!$C$2:$C$100, DM!$C$2:$C$100),14),"")</f>
        <v>0</v>
      </c>
      <c r="D22" s="10">
        <f>IF(A22="","",WORKDAY($B$6,-SUM($B$9:B22),休業日!$A$2:$A$200))</f>
        <v>45978</v>
      </c>
      <c r="E22" s="10">
        <f>IF(A22="","",WORKDAY(D22,-ROUNDUP(B22,0)+1,休業日!$A$2:$A$200))</f>
        <v>45979</v>
      </c>
    </row>
    <row r="23" spans="1:5">
      <c r="A23" s="9">
        <f>IFERROR(INDEX(CHOOSE(MATCH(設定!$B$3,{"冊子","チラシ・ペラ","DM"},0), 冊子!$B$2:$B$100, チラシ・ペラ!$B$2:$B$100, DM!$B$2:$B$100),15),"")</f>
        <v>0</v>
      </c>
      <c r="B23" s="9">
        <f>IF(A23="校正（PDF）", CEILING(C23*設定!$B$8,1), CEILING(C23,1))</f>
        <v>0</v>
      </c>
      <c r="C23" s="9">
        <f>IFERROR(INDEX(CHOOSE(MATCH(設定!$B$3,{"冊子","チラシ・ペラ","DM"},0), 冊子!$C$2:$C$100, チラシ・ペラ!$C$2:$C$100, DM!$C$2:$C$100),15),"")</f>
        <v>0</v>
      </c>
      <c r="D23" s="10">
        <f>IF(A23="","",WORKDAY($B$6,-SUM($B$9:B23),休業日!$A$2:$A$200))</f>
        <v>45978</v>
      </c>
      <c r="E23" s="10">
        <f>IF(A23="","",WORKDAY(D23,-ROUNDUP(B23,0)+1,休業日!$A$2:$A$200))</f>
        <v>45979</v>
      </c>
    </row>
    <row r="24" spans="1:5">
      <c r="A24" s="9">
        <f>IFERROR(INDEX(CHOOSE(MATCH(設定!$B$3,{"冊子","チラシ・ペラ","DM"},0), 冊子!$B$2:$B$100, チラシ・ペラ!$B$2:$B$100, DM!$B$2:$B$100),16),"")</f>
        <v>0</v>
      </c>
      <c r="B24" s="9">
        <f>IF(A24="校正（PDF）", CEILING(C24*設定!$B$8,1), CEILING(C24,1))</f>
        <v>0</v>
      </c>
      <c r="C24" s="9">
        <f>IFERROR(INDEX(CHOOSE(MATCH(設定!$B$3,{"冊子","チラシ・ペラ","DM"},0), 冊子!$C$2:$C$100, チラシ・ペラ!$C$2:$C$100, DM!$C$2:$C$100),16),"")</f>
        <v>0</v>
      </c>
      <c r="D24" s="10">
        <f>IF(A24="","",WORKDAY($B$6,-SUM($B$9:B24),休業日!$A$2:$A$200))</f>
        <v>45978</v>
      </c>
      <c r="E24" s="10">
        <f>IF(A24="","",WORKDAY(D24,-ROUNDUP(B24,0)+1,休業日!$A$2:$A$200))</f>
        <v>45979</v>
      </c>
    </row>
  </sheetData>
  <phoneticPr fontId="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設定</vt:lpstr>
      <vt:lpstr>冊子</vt:lpstr>
      <vt:lpstr>チラシ・ペラ</vt:lpstr>
      <vt:lpstr>DM</vt:lpstr>
      <vt:lpstr>休業日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山形恭平</cp:lastModifiedBy>
  <dcterms:created xsi:type="dcterms:W3CDTF">2025-08-26T06:46:13Z</dcterms:created>
  <dcterms:modified xsi:type="dcterms:W3CDTF">2025-08-26T08:52:16Z</dcterms:modified>
</cp:coreProperties>
</file>